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E:\MDS\Planillas\VRE\"/>
    </mc:Choice>
  </mc:AlternateContent>
  <xr:revisionPtr revIDLastSave="0" documentId="13_ncr:1_{6A69EB77-E98D-404F-BA8A-FAE75BB03F8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R Economico" sheetId="1" r:id="rId1"/>
    <sheet name="Ejemplo" sheetId="3" r:id="rId2"/>
    <sheet name="Comprobacion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3" l="1"/>
  <c r="C8" i="3"/>
  <c r="D8" i="3"/>
  <c r="E8" i="3"/>
  <c r="F8" i="3"/>
  <c r="G8" i="3"/>
  <c r="H8" i="3"/>
  <c r="I8" i="3"/>
  <c r="J8" i="3"/>
  <c r="K8" i="3"/>
  <c r="L8" i="3"/>
  <c r="B8" i="3"/>
  <c r="B9" i="3" s="1"/>
  <c r="D34" i="1" l="1"/>
  <c r="D7" i="1"/>
  <c r="J22" i="2"/>
  <c r="D35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2" i="2"/>
  <c r="D32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3" i="2"/>
  <c r="O3" i="2" s="1"/>
  <c r="O2" i="2"/>
  <c r="D33" i="2"/>
  <c r="B33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D29" i="1"/>
  <c r="D28" i="1"/>
  <c r="D27" i="1"/>
  <c r="D26" i="1"/>
  <c r="D25" i="1"/>
  <c r="D24" i="1"/>
  <c r="D23" i="1"/>
  <c r="D22" i="1"/>
  <c r="D21" i="1"/>
  <c r="D20" i="1"/>
  <c r="D19" i="1"/>
  <c r="D18" i="1"/>
  <c r="E17" i="1"/>
  <c r="F17" i="1" s="1"/>
  <c r="E18" i="1"/>
  <c r="F18" i="1" s="1"/>
  <c r="E19" i="1"/>
  <c r="F19" i="1" s="1"/>
  <c r="E20" i="1"/>
  <c r="E21" i="1"/>
  <c r="F21" i="1" s="1"/>
  <c r="E22" i="1"/>
  <c r="F22" i="1" s="1"/>
  <c r="E23" i="1"/>
  <c r="F23" i="1" s="1"/>
  <c r="E24" i="1"/>
  <c r="F24" i="1" s="1"/>
  <c r="E25" i="1"/>
  <c r="F25" i="1" s="1"/>
  <c r="G25" i="1" s="1"/>
  <c r="E26" i="1"/>
  <c r="F26" i="1" s="1"/>
  <c r="E27" i="1"/>
  <c r="F27" i="1" s="1"/>
  <c r="E28" i="1"/>
  <c r="F28" i="1" s="1"/>
  <c r="E29" i="1"/>
  <c r="E16" i="1"/>
  <c r="F16" i="1" s="1"/>
  <c r="G23" i="1" l="1"/>
  <c r="G22" i="1"/>
  <c r="G21" i="1"/>
  <c r="G19" i="1"/>
  <c r="G18" i="1"/>
  <c r="G26" i="1"/>
  <c r="G24" i="1"/>
  <c r="F20" i="1"/>
  <c r="G20" i="1" s="1"/>
  <c r="F29" i="1"/>
  <c r="G29" i="1" s="1"/>
  <c r="G28" i="1"/>
  <c r="G27" i="1"/>
  <c r="D17" i="1"/>
  <c r="G17" i="1" s="1"/>
  <c r="D16" i="1"/>
  <c r="G16" i="1" s="1"/>
  <c r="O4" i="2" l="1"/>
  <c r="G33" i="2"/>
  <c r="G30" i="1"/>
  <c r="D36" i="1" s="1"/>
  <c r="D30" i="1"/>
  <c r="D33" i="1" s="1"/>
  <c r="O5" i="2" l="1"/>
  <c r="D39" i="1"/>
  <c r="D40" i="1" s="1"/>
  <c r="O6" i="2" l="1"/>
  <c r="O7" i="2" l="1"/>
  <c r="O8" i="2" l="1"/>
  <c r="O9" i="2" l="1"/>
  <c r="O10" i="2" l="1"/>
  <c r="O11" i="2" l="1"/>
  <c r="O12" i="2" l="1"/>
  <c r="O13" i="2" l="1"/>
  <c r="O14" i="2" l="1"/>
  <c r="O15" i="2" l="1"/>
  <c r="O16" i="2" l="1"/>
  <c r="O17" i="2" l="1"/>
  <c r="O18" i="2" l="1"/>
  <c r="O19" i="2" l="1"/>
  <c r="O20" i="2" l="1"/>
  <c r="O21" i="2" l="1"/>
  <c r="O22" i="2" l="1"/>
  <c r="O23" i="2" s="1"/>
  <c r="J23" i="2"/>
</calcChain>
</file>

<file path=xl/sharedStrings.xml><?xml version="1.0" encoding="utf-8"?>
<sst xmlns="http://schemas.openxmlformats.org/spreadsheetml/2006/main" count="61" uniqueCount="48">
  <si>
    <t>Horizonte de evaluación</t>
  </si>
  <si>
    <t>Tasa social de descuento</t>
  </si>
  <si>
    <t>Flujo neto en el Horizonte de evaluación</t>
  </si>
  <si>
    <t>Re inversiones</t>
  </si>
  <si>
    <t>Item</t>
  </si>
  <si>
    <t>Vida util</t>
  </si>
  <si>
    <t>CAE Re inversión ($/año)</t>
  </si>
  <si>
    <t>Valor($)</t>
  </si>
  <si>
    <t>Estimación Re inversiones anuales</t>
  </si>
  <si>
    <t>Valor Inversión Terreno</t>
  </si>
  <si>
    <t>Valor OOCC</t>
  </si>
  <si>
    <t>Estimaciones</t>
  </si>
  <si>
    <t>V Residual</t>
  </si>
  <si>
    <t>Valor residuales en el Horizonte de evaluación</t>
  </si>
  <si>
    <t>Vida util OOCC (según SII)</t>
  </si>
  <si>
    <t>Vida util operacional del proyecto</t>
  </si>
  <si>
    <t>Años</t>
  </si>
  <si>
    <t>CALCULADORA DEL VALOR RESIDUAL ECONÓMICO PARA METODOLOGÍAS COSTO BENEFICIO</t>
  </si>
  <si>
    <t>Valor Residual de los Beneficios</t>
  </si>
  <si>
    <t>Valor Residual de las Obras civiles</t>
  </si>
  <si>
    <t>Valor Residual económico en el Horizonte de evaluación</t>
  </si>
  <si>
    <t>Residuales</t>
  </si>
  <si>
    <t>Tasa de crecimiento anual del flujo neto</t>
  </si>
  <si>
    <t>Valor Residual de los componentes de la Reinversión</t>
  </si>
  <si>
    <t>Alejandro Rios</t>
  </si>
  <si>
    <t>Revisión</t>
  </si>
  <si>
    <t>Carlos Peralta</t>
  </si>
  <si>
    <t>Fecha Versión</t>
  </si>
  <si>
    <t xml:space="preserve">Diseño y cálculos </t>
  </si>
  <si>
    <t>Residuo</t>
  </si>
  <si>
    <t>Valor Residual económico a valor neto (año 0)</t>
  </si>
  <si>
    <t>Valor residual económico</t>
  </si>
  <si>
    <t>flujo neto</t>
  </si>
  <si>
    <t>Terreno</t>
  </si>
  <si>
    <t>Equipos</t>
  </si>
  <si>
    <t>Equipamiento</t>
  </si>
  <si>
    <t>OOCC</t>
  </si>
  <si>
    <t>VNA</t>
  </si>
  <si>
    <t>Flujo neto</t>
  </si>
  <si>
    <t>Periodo</t>
  </si>
  <si>
    <t>vna</t>
  </si>
  <si>
    <t>Pago</t>
  </si>
  <si>
    <t>VAN</t>
  </si>
  <si>
    <t>Valor Residual del Terreno</t>
  </si>
  <si>
    <t>Inversión</t>
  </si>
  <si>
    <t>Obras civiles</t>
  </si>
  <si>
    <t>Valor Residual económico</t>
  </si>
  <si>
    <t>Beneficio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</si>
</sst>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;[Red]&quot;$&quot;\-#,##0"/>
    <numFmt numFmtId="8" formatCode="&quot;$&quot;#,##0.00;[Red]&quot;$&quot;\-#,##0.00"/>
    <numFmt numFmtId="42" formatCode="_ &quot;$&quot;* #,##0_ ;_ &quot;$&quot;* \-#,##0_ ;_ &quot;$&quot;* &quot;-&quot;_ ;_ @_ "/>
    <numFmt numFmtId="41" formatCode="_ * #,##0_ ;_ * \-#,##0_ ;_ * &quot;-&quot;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\ _€_-;\-* #,##0.0\ _€_-;_-* &quot;-&quot;??\ _€_-;_-@_-"/>
    <numFmt numFmtId="167" formatCode="_-[$$-340A]\ * #,##0_-;\-[$$-340A]\ * #,##0_-;_-[$$-340A]\ * &quot;-&quot;??_-;_-@_-"/>
    <numFmt numFmtId="168" formatCode="0.0%"/>
    <numFmt numFmtId="169" formatCode="_-* #,##0\ _€_-;\-* #,##0\ _€_-;_-* &quot;-&quot;??\ _€_-;_-@_-"/>
    <numFmt numFmtId="172" formatCode="_ * #,##0.00_ ;_ * \-#,##0.00_ ;_ * &quot;-&quot;_ ;_ @_ "/>
    <numFmt numFmtId="173" formatCode="_ * #,##0.000_ ;_ * \-#,##0.00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2" tint="-9.9978637043366805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NumberFormat="1"/>
    <xf numFmtId="0" fontId="0" fillId="0" borderId="0" xfId="1" applyNumberFormat="1" applyFont="1"/>
    <xf numFmtId="0" fontId="0" fillId="2" borderId="13" xfId="0" applyNumberFormat="1" applyFill="1" applyBorder="1"/>
    <xf numFmtId="0" fontId="0" fillId="0" borderId="0" xfId="0" applyNumberFormat="1" applyBorder="1"/>
    <xf numFmtId="0" fontId="0" fillId="0" borderId="3" xfId="0" applyNumberFormat="1" applyBorder="1"/>
    <xf numFmtId="0" fontId="0" fillId="2" borderId="2" xfId="0" applyNumberFormat="1" applyFill="1" applyBorder="1"/>
    <xf numFmtId="0" fontId="0" fillId="2" borderId="6" xfId="0" applyNumberFormat="1" applyFill="1" applyBorder="1"/>
    <xf numFmtId="0" fontId="0" fillId="0" borderId="4" xfId="0" applyNumberFormat="1" applyBorder="1"/>
    <xf numFmtId="0" fontId="0" fillId="3" borderId="13" xfId="0" applyNumberFormat="1" applyFill="1" applyBorder="1"/>
    <xf numFmtId="0" fontId="0" fillId="3" borderId="6" xfId="0" applyNumberFormat="1" applyFill="1" applyBorder="1"/>
    <xf numFmtId="0" fontId="2" fillId="4" borderId="13" xfId="0" applyNumberFormat="1" applyFont="1" applyFill="1" applyBorder="1"/>
    <xf numFmtId="0" fontId="2" fillId="4" borderId="6" xfId="0" applyNumberFormat="1" applyFont="1" applyFill="1" applyBorder="1"/>
    <xf numFmtId="0" fontId="2" fillId="5" borderId="17" xfId="0" applyNumberFormat="1" applyFont="1" applyFill="1" applyBorder="1"/>
    <xf numFmtId="0" fontId="2" fillId="7" borderId="1" xfId="0" applyNumberFormat="1" applyFont="1" applyFill="1" applyBorder="1" applyAlignment="1">
      <alignment horizontal="center" vertical="center"/>
    </xf>
    <xf numFmtId="0" fontId="0" fillId="0" borderId="8" xfId="0" applyNumberFormat="1" applyBorder="1"/>
    <xf numFmtId="0" fontId="0" fillId="0" borderId="9" xfId="0" applyNumberFormat="1" applyBorder="1"/>
    <xf numFmtId="0" fontId="0" fillId="0" borderId="1" xfId="0" applyNumberFormat="1" applyBorder="1" applyProtection="1">
      <protection locked="0"/>
    </xf>
    <xf numFmtId="0" fontId="0" fillId="0" borderId="19" xfId="0" applyNumberFormat="1" applyBorder="1" applyProtection="1">
      <protection locked="0"/>
    </xf>
    <xf numFmtId="0" fontId="0" fillId="0" borderId="20" xfId="0" applyNumberFormat="1" applyBorder="1" applyProtection="1">
      <protection locked="0"/>
    </xf>
    <xf numFmtId="0" fontId="0" fillId="0" borderId="21" xfId="0" applyNumberFormat="1" applyBorder="1" applyProtection="1">
      <protection locked="0"/>
    </xf>
    <xf numFmtId="167" fontId="0" fillId="0" borderId="15" xfId="2" applyNumberFormat="1" applyFont="1" applyBorder="1" applyProtection="1">
      <protection locked="0"/>
    </xf>
    <xf numFmtId="167" fontId="0" fillId="0" borderId="16" xfId="2" applyNumberFormat="1" applyFont="1" applyBorder="1" applyProtection="1">
      <protection locked="0"/>
    </xf>
    <xf numFmtId="168" fontId="0" fillId="0" borderId="15" xfId="3" applyNumberFormat="1" applyFont="1" applyBorder="1" applyProtection="1">
      <protection locked="0"/>
    </xf>
    <xf numFmtId="168" fontId="0" fillId="0" borderId="16" xfId="3" applyNumberFormat="1" applyFont="1" applyBorder="1" applyProtection="1">
      <protection locked="0"/>
    </xf>
    <xf numFmtId="167" fontId="0" fillId="0" borderId="1" xfId="2" applyNumberFormat="1" applyFont="1" applyBorder="1"/>
    <xf numFmtId="167" fontId="0" fillId="0" borderId="7" xfId="2" applyNumberFormat="1" applyFont="1" applyBorder="1"/>
    <xf numFmtId="167" fontId="0" fillId="0" borderId="1" xfId="1" applyNumberFormat="1" applyFont="1" applyBorder="1" applyProtection="1">
      <protection locked="0"/>
    </xf>
    <xf numFmtId="0" fontId="2" fillId="7" borderId="2" xfId="0" applyNumberFormat="1" applyFont="1" applyFill="1" applyBorder="1" applyAlignment="1">
      <alignment horizontal="center" vertical="center"/>
    </xf>
    <xf numFmtId="0" fontId="2" fillId="7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/>
    <xf numFmtId="0" fontId="5" fillId="0" borderId="5" xfId="0" applyNumberFormat="1" applyFont="1" applyBorder="1"/>
    <xf numFmtId="166" fontId="5" fillId="0" borderId="5" xfId="1" applyNumberFormat="1" applyFont="1" applyBorder="1"/>
    <xf numFmtId="169" fontId="5" fillId="0" borderId="5" xfId="1" applyNumberFormat="1" applyFont="1" applyBorder="1"/>
    <xf numFmtId="41" fontId="0" fillId="0" borderId="5" xfId="4" applyFont="1" applyBorder="1"/>
    <xf numFmtId="41" fontId="2" fillId="7" borderId="16" xfId="4" applyFont="1" applyFill="1" applyBorder="1"/>
    <xf numFmtId="8" fontId="0" fillId="0" borderId="0" xfId="0" applyNumberFormat="1"/>
    <xf numFmtId="0" fontId="0" fillId="0" borderId="2" xfId="0" applyNumberFormat="1" applyBorder="1" applyProtection="1">
      <protection locked="0"/>
    </xf>
    <xf numFmtId="0" fontId="0" fillId="0" borderId="1" xfId="0" applyBorder="1"/>
    <xf numFmtId="0" fontId="0" fillId="9" borderId="1" xfId="0" applyFill="1" applyBorder="1"/>
    <xf numFmtId="41" fontId="0" fillId="0" borderId="1" xfId="4" applyFont="1" applyBorder="1"/>
    <xf numFmtId="41" fontId="0" fillId="9" borderId="1" xfId="4" applyFont="1" applyFill="1" applyBorder="1"/>
    <xf numFmtId="0" fontId="2" fillId="0" borderId="1" xfId="0" applyFont="1" applyBorder="1"/>
    <xf numFmtId="0" fontId="2" fillId="0" borderId="1" xfId="0" applyFont="1" applyFill="1" applyBorder="1"/>
    <xf numFmtId="41" fontId="0" fillId="0" borderId="1" xfId="0" applyNumberFormat="1" applyBorder="1"/>
    <xf numFmtId="41" fontId="0" fillId="0" borderId="0" xfId="0" applyNumberFormat="1"/>
    <xf numFmtId="173" fontId="0" fillId="9" borderId="1" xfId="4" applyNumberFormat="1" applyFont="1" applyFill="1" applyBorder="1"/>
    <xf numFmtId="172" fontId="0" fillId="0" borderId="1" xfId="4" applyNumberFormat="1" applyFont="1" applyBorder="1"/>
    <xf numFmtId="8" fontId="0" fillId="9" borderId="1" xfId="4" applyNumberFormat="1" applyFont="1" applyFill="1" applyBorder="1"/>
    <xf numFmtId="8" fontId="0" fillId="0" borderId="1" xfId="4" applyNumberFormat="1" applyFont="1" applyBorder="1"/>
    <xf numFmtId="0" fontId="0" fillId="8" borderId="2" xfId="0" applyNumberFormat="1" applyFill="1" applyBorder="1" applyAlignment="1">
      <alignment horizontal="left"/>
    </xf>
    <xf numFmtId="0" fontId="0" fillId="8" borderId="1" xfId="0" applyNumberFormat="1" applyFill="1" applyBorder="1" applyAlignment="1">
      <alignment horizontal="left"/>
    </xf>
    <xf numFmtId="0" fontId="0" fillId="8" borderId="6" xfId="0" applyNumberFormat="1" applyFill="1" applyBorder="1" applyAlignment="1">
      <alignment horizontal="left"/>
    </xf>
    <xf numFmtId="0" fontId="0" fillId="8" borderId="7" xfId="0" applyNumberFormat="1" applyFill="1" applyBorder="1" applyAlignment="1">
      <alignment horizontal="left"/>
    </xf>
    <xf numFmtId="0" fontId="2" fillId="6" borderId="25" xfId="0" applyNumberFormat="1" applyFont="1" applyFill="1" applyBorder="1" applyAlignment="1">
      <alignment horizontal="center" vertical="center"/>
    </xf>
    <xf numFmtId="0" fontId="2" fillId="6" borderId="26" xfId="0" applyNumberFormat="1" applyFont="1" applyFill="1" applyBorder="1" applyAlignment="1">
      <alignment horizontal="center" vertical="center"/>
    </xf>
    <xf numFmtId="0" fontId="2" fillId="6" borderId="27" xfId="0" applyNumberFormat="1" applyFont="1" applyFill="1" applyBorder="1" applyAlignment="1">
      <alignment horizontal="center" vertical="center"/>
    </xf>
    <xf numFmtId="0" fontId="2" fillId="7" borderId="6" xfId="0" applyNumberFormat="1" applyFont="1" applyFill="1" applyBorder="1" applyAlignment="1">
      <alignment horizontal="center"/>
    </xf>
    <xf numFmtId="0" fontId="2" fillId="7" borderId="7" xfId="0" applyNumberFormat="1" applyFont="1" applyFill="1" applyBorder="1" applyAlignment="1">
      <alignment horizontal="center"/>
    </xf>
    <xf numFmtId="0" fontId="2" fillId="7" borderId="2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3" fillId="7" borderId="10" xfId="0" applyNumberFormat="1" applyFont="1" applyFill="1" applyBorder="1" applyAlignment="1">
      <alignment horizontal="center" vertical="center"/>
    </xf>
    <xf numFmtId="0" fontId="3" fillId="7" borderId="11" xfId="0" applyNumberFormat="1" applyFont="1" applyFill="1" applyBorder="1" applyAlignment="1">
      <alignment horizontal="center" vertical="center"/>
    </xf>
    <xf numFmtId="0" fontId="3" fillId="7" borderId="12" xfId="0" applyNumberFormat="1" applyFont="1" applyFill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/>
    </xf>
    <xf numFmtId="0" fontId="5" fillId="0" borderId="29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left"/>
    </xf>
    <xf numFmtId="0" fontId="4" fillId="0" borderId="14" xfId="0" applyNumberFormat="1" applyFont="1" applyBorder="1" applyAlignment="1">
      <alignment horizontal="left"/>
    </xf>
    <xf numFmtId="0" fontId="4" fillId="0" borderId="14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left"/>
    </xf>
    <xf numFmtId="0" fontId="4" fillId="0" borderId="7" xfId="0" applyNumberFormat="1" applyFont="1" applyBorder="1" applyAlignment="1">
      <alignment horizontal="left"/>
    </xf>
    <xf numFmtId="14" fontId="4" fillId="0" borderId="7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7" fillId="0" borderId="0" xfId="0" applyNumberFormat="1" applyFont="1" applyBorder="1"/>
    <xf numFmtId="8" fontId="6" fillId="0" borderId="0" xfId="0" applyNumberFormat="1" applyFont="1" applyBorder="1"/>
    <xf numFmtId="167" fontId="0" fillId="0" borderId="18" xfId="2" applyNumberFormat="1" applyFont="1" applyBorder="1" applyProtection="1">
      <protection locked="0"/>
    </xf>
    <xf numFmtId="8" fontId="0" fillId="0" borderId="1" xfId="0" applyNumberFormat="1" applyBorder="1"/>
    <xf numFmtId="42" fontId="8" fillId="0" borderId="1" xfId="5" applyFont="1" applyBorder="1"/>
    <xf numFmtId="42" fontId="8" fillId="0" borderId="20" xfId="5" applyFont="1" applyBorder="1" applyAlignment="1">
      <alignment horizontal="center"/>
    </xf>
    <xf numFmtId="42" fontId="8" fillId="0" borderId="30" xfId="5" applyFont="1" applyBorder="1" applyAlignment="1">
      <alignment horizontal="center"/>
    </xf>
    <xf numFmtId="42" fontId="8" fillId="0" borderId="29" xfId="5" applyFont="1" applyBorder="1" applyAlignment="1">
      <alignment horizontal="center"/>
    </xf>
    <xf numFmtId="6" fontId="8" fillId="0" borderId="1" xfId="5" applyNumberFormat="1" applyFont="1" applyBorder="1"/>
    <xf numFmtId="41" fontId="0" fillId="10" borderId="1" xfId="4" applyFont="1" applyFill="1" applyBorder="1" applyAlignment="1">
      <alignment horizontal="center"/>
    </xf>
    <xf numFmtId="41" fontId="0" fillId="3" borderId="1" xfId="4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 indent="1"/>
    </xf>
    <xf numFmtId="0" fontId="0" fillId="3" borderId="1" xfId="0" applyFill="1" applyBorder="1" applyAlignment="1">
      <alignment horizontal="left"/>
    </xf>
    <xf numFmtId="42" fontId="8" fillId="4" borderId="1" xfId="5" applyFont="1" applyFill="1" applyBorder="1"/>
  </cellXfs>
  <cellStyles count="6">
    <cellStyle name="Millares" xfId="1" builtinId="3"/>
    <cellStyle name="Millares [0]" xfId="4" builtinId="6"/>
    <cellStyle name="Moneda" xfId="2" builtinId="4"/>
    <cellStyle name="Moneda [0]" xfId="5" builtinId="7"/>
    <cellStyle name="Normal" xfId="0" builtinId="0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</xdr:row>
      <xdr:rowOff>152399</xdr:rowOff>
    </xdr:from>
    <xdr:to>
      <xdr:col>6</xdr:col>
      <xdr:colOff>452315</xdr:colOff>
      <xdr:row>11</xdr:row>
      <xdr:rowOff>148069</xdr:rowOff>
    </xdr:to>
    <xdr:pic>
      <xdr:nvPicPr>
        <xdr:cNvPr id="1025" name="Picture 1" descr="Ministerio de Desarrollo Soci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29400" y="695324"/>
          <a:ext cx="2143125" cy="19482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="145" zoomScaleNormal="145" workbookViewId="0">
      <selection activeCell="B46" sqref="B46"/>
    </sheetView>
  </sheetViews>
  <sheetFormatPr baseColWidth="10" defaultColWidth="11.42578125" defaultRowHeight="15" x14ac:dyDescent="0.25"/>
  <cols>
    <col min="1" max="1" width="37.42578125" style="1" bestFit="1" customWidth="1"/>
    <col min="2" max="2" width="18" style="1" customWidth="1"/>
    <col min="3" max="3" width="17.85546875" style="1" customWidth="1"/>
    <col min="4" max="4" width="23.140625" style="1" bestFit="1" customWidth="1"/>
    <col min="5" max="5" width="11.42578125" style="1"/>
    <col min="6" max="6" width="16.85546875" style="1" bestFit="1" customWidth="1"/>
    <col min="7" max="7" width="12.85546875" style="1" bestFit="1" customWidth="1"/>
    <col min="8" max="8" width="11.42578125" style="1"/>
    <col min="9" max="9" width="16.85546875" style="1" bestFit="1" customWidth="1"/>
    <col min="10" max="10" width="11.42578125" style="1"/>
    <col min="11" max="11" width="16.7109375" style="1" bestFit="1" customWidth="1"/>
    <col min="12" max="12" width="11.42578125" style="1"/>
    <col min="13" max="14" width="16.7109375" style="1" bestFit="1" customWidth="1"/>
    <col min="15" max="15" width="16.7109375" style="1" customWidth="1"/>
    <col min="16" max="16" width="13.140625" style="1" bestFit="1" customWidth="1"/>
    <col min="17" max="17" width="11.85546875" style="1" bestFit="1" customWidth="1"/>
    <col min="18" max="16384" width="11.42578125" style="1"/>
  </cols>
  <sheetData>
    <row r="1" spans="1:13" ht="42.75" customHeight="1" thickBot="1" x14ac:dyDescent="0.3">
      <c r="A1" s="63" t="s">
        <v>17</v>
      </c>
      <c r="B1" s="64"/>
      <c r="C1" s="64"/>
      <c r="D1" s="64"/>
      <c r="E1" s="64"/>
      <c r="F1" s="64"/>
      <c r="G1" s="65"/>
      <c r="K1" s="2"/>
      <c r="M1" s="2"/>
    </row>
    <row r="2" spans="1:13" x14ac:dyDescent="0.25">
      <c r="A2" s="3" t="s">
        <v>14</v>
      </c>
      <c r="B2" s="18">
        <v>50</v>
      </c>
      <c r="C2" s="66" t="s">
        <v>16</v>
      </c>
      <c r="D2" s="4"/>
      <c r="E2" s="4"/>
      <c r="F2" s="4"/>
      <c r="G2" s="5"/>
    </row>
    <row r="3" spans="1:13" x14ac:dyDescent="0.25">
      <c r="A3" s="6" t="s">
        <v>15</v>
      </c>
      <c r="B3" s="19">
        <v>30</v>
      </c>
      <c r="C3" s="67"/>
      <c r="D3" s="4"/>
      <c r="E3" s="4"/>
      <c r="F3" s="4"/>
      <c r="G3" s="5"/>
    </row>
    <row r="4" spans="1:13" ht="15.75" thickBot="1" x14ac:dyDescent="0.3">
      <c r="A4" s="7" t="s">
        <v>0</v>
      </c>
      <c r="B4" s="20">
        <v>10</v>
      </c>
      <c r="C4" s="68"/>
      <c r="D4" s="4"/>
      <c r="E4" s="4"/>
      <c r="F4" s="4"/>
      <c r="G4" s="5"/>
    </row>
    <row r="5" spans="1:13" ht="15.75" thickBot="1" x14ac:dyDescent="0.3">
      <c r="A5" s="8"/>
      <c r="B5" s="4"/>
      <c r="C5" s="4"/>
      <c r="D5" s="4"/>
      <c r="E5" s="4"/>
      <c r="F5" s="4"/>
      <c r="G5" s="5"/>
    </row>
    <row r="6" spans="1:13" ht="14.25" customHeight="1" x14ac:dyDescent="0.25">
      <c r="A6" s="9" t="s">
        <v>9</v>
      </c>
      <c r="B6" s="21">
        <v>650000</v>
      </c>
      <c r="C6" s="4"/>
      <c r="D6" s="84"/>
      <c r="E6" s="4"/>
      <c r="F6" s="4"/>
      <c r="G6" s="5"/>
    </row>
    <row r="7" spans="1:13" ht="15.75" thickBot="1" x14ac:dyDescent="0.3">
      <c r="A7" s="10" t="s">
        <v>10</v>
      </c>
      <c r="B7" s="22">
        <v>3000000</v>
      </c>
      <c r="C7" s="4"/>
      <c r="D7" s="85">
        <f>-PMT($B$9,B2,B7)</f>
        <v>190332.85912159859</v>
      </c>
      <c r="E7" s="4"/>
      <c r="F7" s="4"/>
      <c r="G7" s="5"/>
    </row>
    <row r="8" spans="1:13" ht="15.75" thickBot="1" x14ac:dyDescent="0.3">
      <c r="A8" s="8"/>
      <c r="B8" s="4"/>
      <c r="C8" s="4"/>
      <c r="D8" s="4"/>
      <c r="E8" s="4"/>
      <c r="F8" s="4"/>
      <c r="G8" s="5"/>
    </row>
    <row r="9" spans="1:13" x14ac:dyDescent="0.25">
      <c r="A9" s="11" t="s">
        <v>1</v>
      </c>
      <c r="B9" s="23">
        <v>0.06</v>
      </c>
      <c r="C9" s="4"/>
      <c r="D9" s="4"/>
      <c r="E9" s="4"/>
      <c r="F9" s="4"/>
      <c r="G9" s="5"/>
    </row>
    <row r="10" spans="1:13" ht="15.75" thickBot="1" x14ac:dyDescent="0.3">
      <c r="A10" s="12" t="s">
        <v>22</v>
      </c>
      <c r="B10" s="24">
        <v>0</v>
      </c>
      <c r="C10" s="4"/>
      <c r="D10" s="4"/>
      <c r="E10" s="4"/>
      <c r="F10" s="4"/>
      <c r="G10" s="5"/>
    </row>
    <row r="11" spans="1:13" ht="15.75" thickBot="1" x14ac:dyDescent="0.3">
      <c r="A11" s="8"/>
      <c r="B11" s="4"/>
      <c r="C11" s="4"/>
      <c r="D11" s="4"/>
      <c r="E11" s="4"/>
      <c r="F11" s="4"/>
      <c r="G11" s="5"/>
      <c r="J11"/>
    </row>
    <row r="12" spans="1:13" ht="15.75" thickBot="1" x14ac:dyDescent="0.3">
      <c r="A12" s="13" t="s">
        <v>2</v>
      </c>
      <c r="B12" s="86">
        <v>330000</v>
      </c>
      <c r="C12" s="4"/>
      <c r="D12" s="4"/>
      <c r="E12" s="4"/>
      <c r="F12" s="4"/>
      <c r="G12" s="5"/>
    </row>
    <row r="13" spans="1:13" ht="15.75" thickBot="1" x14ac:dyDescent="0.3">
      <c r="A13" s="8"/>
      <c r="B13" s="4"/>
      <c r="C13" s="4"/>
      <c r="D13" s="4"/>
      <c r="E13" s="4"/>
      <c r="F13" s="4"/>
      <c r="G13" s="5"/>
      <c r="I13" s="38"/>
    </row>
    <row r="14" spans="1:13" x14ac:dyDescent="0.25">
      <c r="A14" s="56" t="s">
        <v>3</v>
      </c>
      <c r="B14" s="57"/>
      <c r="C14" s="57"/>
      <c r="D14" s="58"/>
      <c r="E14" s="30" t="s">
        <v>29</v>
      </c>
      <c r="F14" s="30" t="s">
        <v>11</v>
      </c>
      <c r="G14" s="31" t="s">
        <v>12</v>
      </c>
    </row>
    <row r="15" spans="1:13" x14ac:dyDescent="0.25">
      <c r="A15" s="28" t="s">
        <v>4</v>
      </c>
      <c r="B15" s="14" t="s">
        <v>5</v>
      </c>
      <c r="C15" s="14" t="s">
        <v>7</v>
      </c>
      <c r="D15" s="29" t="s">
        <v>6</v>
      </c>
      <c r="E15" s="32"/>
      <c r="F15" s="32"/>
      <c r="G15" s="33"/>
    </row>
    <row r="16" spans="1:13" x14ac:dyDescent="0.25">
      <c r="A16" s="39" t="s">
        <v>34</v>
      </c>
      <c r="B16" s="17">
        <v>5</v>
      </c>
      <c r="C16" s="27">
        <v>250000</v>
      </c>
      <c r="D16" s="36">
        <f>+IF(B16&gt;1,-PMT($B$9,B16,C16),0)</f>
        <v>59349.1001077974</v>
      </c>
      <c r="E16" s="32">
        <f>+IF(B16=0,0,MOD($B$3,B16))</f>
        <v>0</v>
      </c>
      <c r="F16" s="32">
        <f>IF(E16=0,0,B16-E16)</f>
        <v>0</v>
      </c>
      <c r="G16" s="35">
        <f>-PV($B$9,F16,D16)</f>
        <v>0</v>
      </c>
    </row>
    <row r="17" spans="1:15" x14ac:dyDescent="0.25">
      <c r="A17" s="39"/>
      <c r="B17" s="17"/>
      <c r="C17" s="27"/>
      <c r="D17" s="36">
        <f t="shared" ref="D17:D18" si="0">+IF(B17&gt;1,-PMT($B$9,B17,C17),0)</f>
        <v>0</v>
      </c>
      <c r="E17" s="32">
        <f t="shared" ref="E17:E29" si="1">+IF(B17=0,0,MOD($B$3,B17))</f>
        <v>0</v>
      </c>
      <c r="F17" s="32">
        <f t="shared" ref="F17:F29" si="2">IF(E17=0,0,B17-E17)</f>
        <v>0</v>
      </c>
      <c r="G17" s="35">
        <f t="shared" ref="G17:G29" si="3">-PV($B$9,F17,D17)</f>
        <v>0</v>
      </c>
    </row>
    <row r="18" spans="1:15" x14ac:dyDescent="0.25">
      <c r="A18" s="39"/>
      <c r="B18" s="17"/>
      <c r="C18" s="27"/>
      <c r="D18" s="36">
        <f t="shared" si="0"/>
        <v>0</v>
      </c>
      <c r="E18" s="32">
        <f t="shared" si="1"/>
        <v>0</v>
      </c>
      <c r="F18" s="32">
        <f t="shared" si="2"/>
        <v>0</v>
      </c>
      <c r="G18" s="35">
        <f t="shared" si="3"/>
        <v>0</v>
      </c>
    </row>
    <row r="19" spans="1:15" x14ac:dyDescent="0.25">
      <c r="A19" s="39"/>
      <c r="B19" s="17"/>
      <c r="C19" s="27"/>
      <c r="D19" s="36">
        <f t="shared" ref="D19:D23" si="4">+IF(B19&gt;1,-PMT($B$9,B19,C19),0)</f>
        <v>0</v>
      </c>
      <c r="E19" s="32">
        <f t="shared" si="1"/>
        <v>0</v>
      </c>
      <c r="F19" s="32">
        <f t="shared" si="2"/>
        <v>0</v>
      </c>
      <c r="G19" s="35">
        <f t="shared" si="3"/>
        <v>0</v>
      </c>
    </row>
    <row r="20" spans="1:15" x14ac:dyDescent="0.25">
      <c r="A20" s="39"/>
      <c r="B20" s="17"/>
      <c r="C20" s="27"/>
      <c r="D20" s="36">
        <f t="shared" si="4"/>
        <v>0</v>
      </c>
      <c r="E20" s="32">
        <f t="shared" si="1"/>
        <v>0</v>
      </c>
      <c r="F20" s="32">
        <f t="shared" si="2"/>
        <v>0</v>
      </c>
      <c r="G20" s="35">
        <f t="shared" si="3"/>
        <v>0</v>
      </c>
    </row>
    <row r="21" spans="1:15" x14ac:dyDescent="0.25">
      <c r="A21" s="39"/>
      <c r="B21" s="17"/>
      <c r="C21" s="27"/>
      <c r="D21" s="36">
        <f t="shared" si="4"/>
        <v>0</v>
      </c>
      <c r="E21" s="32">
        <f t="shared" si="1"/>
        <v>0</v>
      </c>
      <c r="F21" s="32">
        <f t="shared" si="2"/>
        <v>0</v>
      </c>
      <c r="G21" s="35">
        <f t="shared" si="3"/>
        <v>0</v>
      </c>
    </row>
    <row r="22" spans="1:15" x14ac:dyDescent="0.25">
      <c r="A22" s="39"/>
      <c r="B22" s="17"/>
      <c r="C22" s="27"/>
      <c r="D22" s="36">
        <f t="shared" si="4"/>
        <v>0</v>
      </c>
      <c r="E22" s="32">
        <f t="shared" si="1"/>
        <v>0</v>
      </c>
      <c r="F22" s="32">
        <f t="shared" si="2"/>
        <v>0</v>
      </c>
      <c r="G22" s="35">
        <f t="shared" si="3"/>
        <v>0</v>
      </c>
    </row>
    <row r="23" spans="1:15" x14ac:dyDescent="0.25">
      <c r="A23" s="39"/>
      <c r="B23" s="17"/>
      <c r="C23" s="27"/>
      <c r="D23" s="36">
        <f t="shared" si="4"/>
        <v>0</v>
      </c>
      <c r="E23" s="32">
        <f t="shared" si="1"/>
        <v>0</v>
      </c>
      <c r="F23" s="32">
        <f t="shared" si="2"/>
        <v>0</v>
      </c>
      <c r="G23" s="35">
        <f t="shared" si="3"/>
        <v>0</v>
      </c>
    </row>
    <row r="24" spans="1:15" x14ac:dyDescent="0.25">
      <c r="A24" s="39"/>
      <c r="B24" s="17"/>
      <c r="C24" s="27"/>
      <c r="D24" s="36">
        <f t="shared" ref="D24:D27" si="5">+IF(B24&gt;1,-PMT($B$9,B24,C24),0)</f>
        <v>0</v>
      </c>
      <c r="E24" s="32">
        <f t="shared" si="1"/>
        <v>0</v>
      </c>
      <c r="F24" s="32">
        <f t="shared" si="2"/>
        <v>0</v>
      </c>
      <c r="G24" s="35">
        <f t="shared" si="3"/>
        <v>0</v>
      </c>
      <c r="I24" s="38"/>
      <c r="J24" s="38"/>
    </row>
    <row r="25" spans="1:15" x14ac:dyDescent="0.25">
      <c r="A25" s="39"/>
      <c r="B25" s="17"/>
      <c r="C25" s="27"/>
      <c r="D25" s="36">
        <f t="shared" si="5"/>
        <v>0</v>
      </c>
      <c r="E25" s="32">
        <f t="shared" si="1"/>
        <v>0</v>
      </c>
      <c r="F25" s="32">
        <f t="shared" si="2"/>
        <v>0</v>
      </c>
      <c r="G25" s="35">
        <f t="shared" si="3"/>
        <v>0</v>
      </c>
      <c r="I25" s="38"/>
    </row>
    <row r="26" spans="1:15" x14ac:dyDescent="0.25">
      <c r="A26" s="39"/>
      <c r="B26" s="17"/>
      <c r="C26" s="27"/>
      <c r="D26" s="36">
        <f t="shared" si="5"/>
        <v>0</v>
      </c>
      <c r="E26" s="32">
        <f t="shared" si="1"/>
        <v>0</v>
      </c>
      <c r="F26" s="32">
        <f t="shared" si="2"/>
        <v>0</v>
      </c>
      <c r="G26" s="35">
        <f t="shared" si="3"/>
        <v>0</v>
      </c>
      <c r="I26" s="38"/>
    </row>
    <row r="27" spans="1:15" x14ac:dyDescent="0.25">
      <c r="A27" s="39"/>
      <c r="B27" s="17"/>
      <c r="C27" s="27"/>
      <c r="D27" s="36">
        <f t="shared" si="5"/>
        <v>0</v>
      </c>
      <c r="E27" s="32">
        <f t="shared" si="1"/>
        <v>0</v>
      </c>
      <c r="F27" s="32">
        <f t="shared" si="2"/>
        <v>0</v>
      </c>
      <c r="G27" s="35">
        <f t="shared" si="3"/>
        <v>0</v>
      </c>
    </row>
    <row r="28" spans="1:15" x14ac:dyDescent="0.25">
      <c r="A28" s="39"/>
      <c r="B28" s="17"/>
      <c r="C28" s="27"/>
      <c r="D28" s="36">
        <f t="shared" ref="D28:D29" si="6">+IF(B28&gt;1,-PMT($B$9,B28,C28),0)</f>
        <v>0</v>
      </c>
      <c r="E28" s="32">
        <f t="shared" si="1"/>
        <v>0</v>
      </c>
      <c r="F28" s="32">
        <f t="shared" si="2"/>
        <v>0</v>
      </c>
      <c r="G28" s="35">
        <f t="shared" si="3"/>
        <v>0</v>
      </c>
    </row>
    <row r="29" spans="1:15" x14ac:dyDescent="0.25">
      <c r="A29" s="39"/>
      <c r="B29" s="17"/>
      <c r="C29" s="27"/>
      <c r="D29" s="36">
        <f t="shared" si="6"/>
        <v>0</v>
      </c>
      <c r="E29" s="32">
        <f t="shared" si="1"/>
        <v>0</v>
      </c>
      <c r="F29" s="32">
        <f t="shared" si="2"/>
        <v>0</v>
      </c>
      <c r="G29" s="35">
        <f t="shared" si="3"/>
        <v>0</v>
      </c>
    </row>
    <row r="30" spans="1:15" ht="15.75" thickBot="1" x14ac:dyDescent="0.3">
      <c r="A30" s="59" t="s">
        <v>8</v>
      </c>
      <c r="B30" s="60"/>
      <c r="C30" s="60"/>
      <c r="D30" s="37">
        <f>SUM(D16:D29)</f>
        <v>59349.1001077974</v>
      </c>
      <c r="E30" s="69" t="s">
        <v>21</v>
      </c>
      <c r="F30" s="70"/>
      <c r="G30" s="34">
        <f>+SUM(G16:G29)</f>
        <v>0</v>
      </c>
    </row>
    <row r="31" spans="1:15" x14ac:dyDescent="0.25">
      <c r="A31" s="8"/>
      <c r="B31" s="4"/>
      <c r="C31" s="4"/>
      <c r="D31" s="4"/>
      <c r="E31" s="4"/>
      <c r="F31" s="4"/>
      <c r="G31" s="5"/>
      <c r="N31" s="2"/>
      <c r="O31" s="2"/>
    </row>
    <row r="32" spans="1:15" x14ac:dyDescent="0.25">
      <c r="A32" s="61" t="s">
        <v>13</v>
      </c>
      <c r="B32" s="62"/>
      <c r="C32" s="62"/>
      <c r="D32" s="62"/>
      <c r="E32" s="4"/>
      <c r="F32" s="4"/>
      <c r="G32" s="5"/>
    </row>
    <row r="33" spans="1:7" x14ac:dyDescent="0.25">
      <c r="A33" s="52" t="s">
        <v>18</v>
      </c>
      <c r="B33" s="53"/>
      <c r="C33" s="53"/>
      <c r="D33" s="25">
        <f>+IF(B3&gt;B4,+((B12)*(1+B10)/(B9-B10)*(1-((1+B10)/(1+B9))^(B3-B4)))+PV(6%,B3-B4,D30),0)</f>
        <v>3104344.4994973601</v>
      </c>
      <c r="E33" s="4"/>
      <c r="F33" s="4"/>
      <c r="G33" s="5"/>
    </row>
    <row r="34" spans="1:7" x14ac:dyDescent="0.25">
      <c r="A34" s="52" t="s">
        <v>19</v>
      </c>
      <c r="B34" s="53"/>
      <c r="C34" s="53"/>
      <c r="D34" s="25">
        <f>-PV(B9,B2-B4,$D$7)</f>
        <v>2863804.7027496998</v>
      </c>
      <c r="E34" s="4"/>
      <c r="F34" s="4"/>
      <c r="G34" s="5"/>
    </row>
    <row r="35" spans="1:7" x14ac:dyDescent="0.25">
      <c r="A35" s="52" t="s">
        <v>43</v>
      </c>
      <c r="B35" s="53"/>
      <c r="C35" s="53"/>
      <c r="D35" s="25">
        <f>-PV($B$9,B3-B4,,B6)</f>
        <v>202673.07247595477</v>
      </c>
      <c r="E35" s="4"/>
      <c r="F35" s="4"/>
      <c r="G35" s="5"/>
    </row>
    <row r="36" spans="1:7" x14ac:dyDescent="0.25">
      <c r="A36" s="52" t="s">
        <v>23</v>
      </c>
      <c r="B36" s="53"/>
      <c r="C36" s="53"/>
      <c r="D36" s="25">
        <f>-PV($B$9,B3-B4,,G30)</f>
        <v>0</v>
      </c>
      <c r="E36" s="4"/>
      <c r="F36" s="4"/>
      <c r="G36" s="5"/>
    </row>
    <row r="37" spans="1:7" x14ac:dyDescent="0.25">
      <c r="A37" s="8"/>
      <c r="B37" s="4"/>
      <c r="C37" s="4"/>
      <c r="D37" s="4"/>
      <c r="E37" s="4"/>
      <c r="F37" s="4"/>
      <c r="G37" s="5"/>
    </row>
    <row r="38" spans="1:7" x14ac:dyDescent="0.25">
      <c r="A38" s="61" t="s">
        <v>31</v>
      </c>
      <c r="B38" s="62"/>
      <c r="C38" s="62"/>
      <c r="D38" s="62"/>
      <c r="E38" s="4"/>
      <c r="F38" s="4"/>
      <c r="G38" s="5"/>
    </row>
    <row r="39" spans="1:7" x14ac:dyDescent="0.25">
      <c r="A39" s="52" t="s">
        <v>20</v>
      </c>
      <c r="B39" s="53"/>
      <c r="C39" s="53"/>
      <c r="D39" s="25">
        <f>+SUM(D33:D36)</f>
        <v>6170822.2747230148</v>
      </c>
      <c r="E39" s="4"/>
      <c r="F39" s="4"/>
      <c r="G39" s="5"/>
    </row>
    <row r="40" spans="1:7" ht="15.75" thickBot="1" x14ac:dyDescent="0.3">
      <c r="A40" s="54" t="s">
        <v>30</v>
      </c>
      <c r="B40" s="55"/>
      <c r="C40" s="55"/>
      <c r="D40" s="26">
        <f>-PV($B$9,B4,,D39)</f>
        <v>3445754.9274767982</v>
      </c>
      <c r="E40" s="15"/>
      <c r="F40" s="15"/>
      <c r="G40" s="16"/>
    </row>
    <row r="41" spans="1:7" ht="15.75" thickBot="1" x14ac:dyDescent="0.3"/>
    <row r="42" spans="1:7" x14ac:dyDescent="0.25">
      <c r="A42" s="71" t="s">
        <v>28</v>
      </c>
      <c r="B42" s="72"/>
      <c r="C42" s="72"/>
      <c r="D42" s="73" t="s">
        <v>24</v>
      </c>
      <c r="E42" s="73"/>
      <c r="F42" s="73"/>
      <c r="G42" s="74"/>
    </row>
    <row r="43" spans="1:7" x14ac:dyDescent="0.25">
      <c r="A43" s="75" t="s">
        <v>25</v>
      </c>
      <c r="B43" s="76"/>
      <c r="C43" s="76"/>
      <c r="D43" s="77" t="s">
        <v>26</v>
      </c>
      <c r="E43" s="77"/>
      <c r="F43" s="77"/>
      <c r="G43" s="78"/>
    </row>
    <row r="44" spans="1:7" ht="15.75" thickBot="1" x14ac:dyDescent="0.3">
      <c r="A44" s="79" t="s">
        <v>27</v>
      </c>
      <c r="B44" s="80"/>
      <c r="C44" s="80"/>
      <c r="D44" s="81">
        <v>44301</v>
      </c>
      <c r="E44" s="82"/>
      <c r="F44" s="82"/>
      <c r="G44" s="83"/>
    </row>
  </sheetData>
  <sheetProtection algorithmName="SHA-512" hashValue="nNS4h54t21atcCs74rafhHU0f/8dOxQTNqofQKmcrE+6kJvoQeDViShVcvDIZuAQeJRpJAFuqy4EvG+xzrNtzg==" saltValue="ZaVS2hGmCctMsyoTykypSA==" spinCount="100000" sheet="1" objects="1" scenarios="1"/>
  <mergeCells count="19">
    <mergeCell ref="A42:C42"/>
    <mergeCell ref="D42:G42"/>
    <mergeCell ref="A43:C43"/>
    <mergeCell ref="D43:G43"/>
    <mergeCell ref="A44:C44"/>
    <mergeCell ref="D44:G44"/>
    <mergeCell ref="A1:G1"/>
    <mergeCell ref="C2:C4"/>
    <mergeCell ref="A35:C35"/>
    <mergeCell ref="A36:C36"/>
    <mergeCell ref="A38:D38"/>
    <mergeCell ref="E30:F30"/>
    <mergeCell ref="A39:C39"/>
    <mergeCell ref="A40:C40"/>
    <mergeCell ref="A14:D14"/>
    <mergeCell ref="A30:C30"/>
    <mergeCell ref="A32:D32"/>
    <mergeCell ref="A33:C33"/>
    <mergeCell ref="A34:C34"/>
  </mergeCells>
  <conditionalFormatting sqref="D33:D36">
    <cfRule type="cellIs" dxfId="0" priority="1" operator="lessThan">
      <formula>0</formula>
    </cfRule>
  </conditionalFormatting>
  <dataValidations count="2">
    <dataValidation type="custom" errorStyle="warning" allowBlank="1" showInputMessage="1" showErrorMessage="1" errorTitle="Error de integridad" error="La vida util operacional no puede ser mayor que la vida util de las Obras civiles" promptTitle="Precaucion" sqref="B3" xr:uid="{C55FD770-2BDF-45C0-AC72-6D0CB9B29FB1}">
      <formula1>B2&gt;=B3</formula1>
    </dataValidation>
    <dataValidation type="custom" allowBlank="1" showInputMessage="1" showErrorMessage="1" errorTitle="Error de integridad" error="No puede ser mayor que la Vida util de las obras civiles" sqref="B4" xr:uid="{A01091CA-FB0A-4FE0-90D7-7BEED0835BC4}">
      <formula1>B2&gt;=B4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F0EB-DC80-43EF-BF3E-BE13B06C6B9C}">
  <dimension ref="A1:L53"/>
  <sheetViews>
    <sheetView workbookViewId="0">
      <selection activeCell="E18" sqref="E18"/>
    </sheetView>
  </sheetViews>
  <sheetFormatPr baseColWidth="10" defaultRowHeight="15" x14ac:dyDescent="0.25"/>
  <cols>
    <col min="1" max="1" width="24.140625" bestFit="1" customWidth="1"/>
    <col min="2" max="3" width="13.42578125" bestFit="1" customWidth="1"/>
  </cols>
  <sheetData>
    <row r="1" spans="1:12" x14ac:dyDescent="0.25">
      <c r="A1" s="94" t="s">
        <v>39</v>
      </c>
      <c r="B1" s="93">
        <v>0</v>
      </c>
      <c r="C1" s="93">
        <v>1</v>
      </c>
      <c r="D1" s="93">
        <v>2</v>
      </c>
      <c r="E1" s="93">
        <v>3</v>
      </c>
      <c r="F1" s="93">
        <v>4</v>
      </c>
      <c r="G1" s="93">
        <v>5</v>
      </c>
      <c r="H1" s="93">
        <v>6</v>
      </c>
      <c r="I1" s="93">
        <v>7</v>
      </c>
      <c r="J1" s="93">
        <v>8</v>
      </c>
      <c r="K1" s="93">
        <v>9</v>
      </c>
      <c r="L1" s="93">
        <v>10</v>
      </c>
    </row>
    <row r="2" spans="1:12" x14ac:dyDescent="0.25">
      <c r="A2" s="95" t="s">
        <v>44</v>
      </c>
      <c r="B2" s="87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96" t="s">
        <v>45</v>
      </c>
      <c r="B3" s="88">
        <v>-3000000</v>
      </c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25">
      <c r="A4" s="96" t="s">
        <v>33</v>
      </c>
      <c r="B4" s="88">
        <v>-650000</v>
      </c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96" t="s">
        <v>34</v>
      </c>
      <c r="B5" s="88">
        <v>-250000</v>
      </c>
      <c r="C5" s="88"/>
      <c r="D5" s="88"/>
      <c r="E5" s="88"/>
      <c r="F5" s="88"/>
      <c r="G5" s="88">
        <v>-250000</v>
      </c>
      <c r="H5" s="88"/>
      <c r="I5" s="88"/>
      <c r="J5" s="88"/>
      <c r="K5" s="88"/>
      <c r="L5" s="88">
        <v>-250000</v>
      </c>
    </row>
    <row r="6" spans="1:12" x14ac:dyDescent="0.25">
      <c r="A6" s="95" t="s">
        <v>46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98">
        <f>+'VR Economico'!D39</f>
        <v>6170822.2747230148</v>
      </c>
    </row>
    <row r="7" spans="1:12" x14ac:dyDescent="0.25">
      <c r="A7" s="97" t="s">
        <v>47</v>
      </c>
      <c r="B7" s="88"/>
      <c r="C7" s="88">
        <v>200000</v>
      </c>
      <c r="D7" s="88">
        <v>210000</v>
      </c>
      <c r="E7" s="88">
        <v>220000</v>
      </c>
      <c r="F7" s="88">
        <v>240000</v>
      </c>
      <c r="G7" s="88">
        <v>250000</v>
      </c>
      <c r="H7" s="88">
        <v>270000</v>
      </c>
      <c r="I7" s="88">
        <v>290000</v>
      </c>
      <c r="J7" s="88">
        <v>310000</v>
      </c>
      <c r="K7" s="88">
        <v>330000</v>
      </c>
      <c r="L7" s="88">
        <v>330000</v>
      </c>
    </row>
    <row r="8" spans="1:12" x14ac:dyDescent="0.25">
      <c r="A8" s="97" t="s">
        <v>38</v>
      </c>
      <c r="B8" s="88">
        <f>+SUM(B3:B7)</f>
        <v>-3900000</v>
      </c>
      <c r="C8" s="88">
        <f t="shared" ref="C8:L8" si="0">+SUM(C3:C7)</f>
        <v>200000</v>
      </c>
      <c r="D8" s="88">
        <f t="shared" si="0"/>
        <v>210000</v>
      </c>
      <c r="E8" s="88">
        <f t="shared" si="0"/>
        <v>220000</v>
      </c>
      <c r="F8" s="88">
        <f t="shared" si="0"/>
        <v>240000</v>
      </c>
      <c r="G8" s="88">
        <f t="shared" si="0"/>
        <v>0</v>
      </c>
      <c r="H8" s="88">
        <f t="shared" si="0"/>
        <v>270000</v>
      </c>
      <c r="I8" s="88">
        <f t="shared" si="0"/>
        <v>290000</v>
      </c>
      <c r="J8" s="88">
        <f t="shared" si="0"/>
        <v>310000</v>
      </c>
      <c r="K8" s="88">
        <f t="shared" si="0"/>
        <v>330000</v>
      </c>
      <c r="L8" s="88">
        <f t="shared" si="0"/>
        <v>6250822.2747230148</v>
      </c>
    </row>
    <row r="9" spans="1:12" x14ac:dyDescent="0.25">
      <c r="A9" s="95" t="s">
        <v>42</v>
      </c>
      <c r="B9" s="92">
        <f>+NPV(6%,C8:L8)+B8</f>
        <v>1113853.9657103121</v>
      </c>
      <c r="C9" s="89"/>
      <c r="D9" s="90"/>
      <c r="E9" s="90"/>
      <c r="F9" s="90"/>
      <c r="G9" s="90"/>
      <c r="H9" s="90"/>
      <c r="I9" s="90"/>
      <c r="J9" s="90"/>
      <c r="K9" s="90"/>
      <c r="L9" s="91"/>
    </row>
    <row r="10" spans="1:12" x14ac:dyDescent="0.25">
      <c r="B10" s="38"/>
    </row>
    <row r="11" spans="1:12" x14ac:dyDescent="0.25">
      <c r="B11" s="38"/>
      <c r="C11" s="38"/>
    </row>
    <row r="12" spans="1:12" x14ac:dyDescent="0.25">
      <c r="B12" s="38"/>
    </row>
    <row r="13" spans="1:12" x14ac:dyDescent="0.25">
      <c r="B13" s="38"/>
    </row>
    <row r="14" spans="1:12" x14ac:dyDescent="0.25">
      <c r="B14" s="38"/>
    </row>
    <row r="15" spans="1:12" x14ac:dyDescent="0.25">
      <c r="B15" s="38"/>
    </row>
    <row r="16" spans="1:12" x14ac:dyDescent="0.25">
      <c r="B16" s="38"/>
    </row>
    <row r="17" spans="2:2" x14ac:dyDescent="0.25">
      <c r="B17" s="38"/>
    </row>
    <row r="18" spans="2:2" x14ac:dyDescent="0.25">
      <c r="B18" s="38"/>
    </row>
    <row r="19" spans="2:2" x14ac:dyDescent="0.25">
      <c r="B19" s="38"/>
    </row>
    <row r="20" spans="2:2" x14ac:dyDescent="0.25">
      <c r="B20" s="38"/>
    </row>
    <row r="21" spans="2:2" x14ac:dyDescent="0.25">
      <c r="B21" s="38"/>
    </row>
    <row r="22" spans="2:2" x14ac:dyDescent="0.25">
      <c r="B22" s="38"/>
    </row>
    <row r="23" spans="2:2" x14ac:dyDescent="0.25">
      <c r="B23" s="38"/>
    </row>
    <row r="24" spans="2:2" x14ac:dyDescent="0.25">
      <c r="B24" s="38"/>
    </row>
    <row r="25" spans="2:2" x14ac:dyDescent="0.25">
      <c r="B25" s="38"/>
    </row>
    <row r="26" spans="2:2" x14ac:dyDescent="0.25">
      <c r="B26" s="38"/>
    </row>
    <row r="27" spans="2:2" x14ac:dyDescent="0.25">
      <c r="B27" s="38"/>
    </row>
    <row r="28" spans="2:2" x14ac:dyDescent="0.25">
      <c r="B28" s="38"/>
    </row>
    <row r="29" spans="2:2" x14ac:dyDescent="0.25">
      <c r="B29" s="38"/>
    </row>
    <row r="30" spans="2:2" x14ac:dyDescent="0.25">
      <c r="B30" s="38"/>
    </row>
    <row r="31" spans="2:2" x14ac:dyDescent="0.25">
      <c r="B31" s="38"/>
    </row>
    <row r="32" spans="2:2" x14ac:dyDescent="0.25">
      <c r="B32" s="38"/>
    </row>
    <row r="33" spans="2:2" x14ac:dyDescent="0.25">
      <c r="B33" s="38"/>
    </row>
    <row r="34" spans="2:2" x14ac:dyDescent="0.25">
      <c r="B34" s="38"/>
    </row>
    <row r="35" spans="2:2" x14ac:dyDescent="0.25">
      <c r="B35" s="38"/>
    </row>
    <row r="36" spans="2:2" x14ac:dyDescent="0.25">
      <c r="B36" s="38"/>
    </row>
    <row r="37" spans="2:2" x14ac:dyDescent="0.25">
      <c r="B37" s="38"/>
    </row>
    <row r="38" spans="2:2" x14ac:dyDescent="0.25">
      <c r="B38" s="38"/>
    </row>
    <row r="39" spans="2:2" x14ac:dyDescent="0.25">
      <c r="B39" s="38"/>
    </row>
    <row r="40" spans="2:2" x14ac:dyDescent="0.25">
      <c r="B40" s="38"/>
    </row>
    <row r="41" spans="2:2" x14ac:dyDescent="0.25">
      <c r="B41" s="38"/>
    </row>
    <row r="42" spans="2:2" x14ac:dyDescent="0.25">
      <c r="B42" s="38"/>
    </row>
    <row r="43" spans="2:2" x14ac:dyDescent="0.25">
      <c r="B43" s="38"/>
    </row>
    <row r="44" spans="2:2" x14ac:dyDescent="0.25">
      <c r="B44" s="38"/>
    </row>
    <row r="45" spans="2:2" x14ac:dyDescent="0.25">
      <c r="B45" s="38"/>
    </row>
    <row r="46" spans="2:2" x14ac:dyDescent="0.25">
      <c r="B46" s="38"/>
    </row>
    <row r="47" spans="2:2" x14ac:dyDescent="0.25">
      <c r="B47" s="38"/>
    </row>
    <row r="48" spans="2:2" x14ac:dyDescent="0.25">
      <c r="B48" s="38"/>
    </row>
    <row r="49" spans="2:2" x14ac:dyDescent="0.25">
      <c r="B49" s="38"/>
    </row>
    <row r="50" spans="2:2" x14ac:dyDescent="0.25">
      <c r="B50" s="38"/>
    </row>
    <row r="51" spans="2:2" x14ac:dyDescent="0.25">
      <c r="B51" s="38"/>
    </row>
    <row r="52" spans="2:2" x14ac:dyDescent="0.25">
      <c r="B52" s="38"/>
    </row>
    <row r="53" spans="2:2" x14ac:dyDescent="0.25">
      <c r="B53" s="38"/>
    </row>
  </sheetData>
  <mergeCells count="1">
    <mergeCell ref="C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920C-BDF6-433B-A9F0-6F53BB39A22A}">
  <dimension ref="A1:O34"/>
  <sheetViews>
    <sheetView workbookViewId="0">
      <selection activeCell="C38" sqref="C38"/>
    </sheetView>
  </sheetViews>
  <sheetFormatPr baseColWidth="10" defaultRowHeight="15" x14ac:dyDescent="0.25"/>
  <cols>
    <col min="6" max="6" width="13.42578125" bestFit="1" customWidth="1"/>
    <col min="14" max="14" width="13.42578125" bestFit="1" customWidth="1"/>
  </cols>
  <sheetData>
    <row r="1" spans="1:15" x14ac:dyDescent="0.25">
      <c r="A1" s="44" t="s">
        <v>39</v>
      </c>
      <c r="B1" s="44" t="s">
        <v>32</v>
      </c>
      <c r="C1" s="44" t="s">
        <v>33</v>
      </c>
      <c r="D1" s="44" t="s">
        <v>36</v>
      </c>
      <c r="E1" s="44" t="s">
        <v>34</v>
      </c>
      <c r="F1" s="44" t="s">
        <v>35</v>
      </c>
      <c r="G1" s="45" t="s">
        <v>38</v>
      </c>
      <c r="I1" s="44" t="s">
        <v>39</v>
      </c>
      <c r="J1" s="44" t="s">
        <v>32</v>
      </c>
      <c r="K1" s="44" t="s">
        <v>33</v>
      </c>
      <c r="L1" s="44" t="s">
        <v>36</v>
      </c>
      <c r="M1" s="44" t="s">
        <v>34</v>
      </c>
      <c r="N1" s="44" t="s">
        <v>35</v>
      </c>
      <c r="O1" s="45" t="s">
        <v>38</v>
      </c>
    </row>
    <row r="2" spans="1:15" x14ac:dyDescent="0.25">
      <c r="A2" s="40">
        <v>0</v>
      </c>
      <c r="B2" s="42"/>
      <c r="C2" s="42">
        <v>-500</v>
      </c>
      <c r="D2" s="42">
        <v>-2000</v>
      </c>
      <c r="E2" s="42">
        <v>-200</v>
      </c>
      <c r="F2" s="42">
        <v>-50</v>
      </c>
      <c r="G2" s="46">
        <f>+SUM(B2:F2)</f>
        <v>-2750</v>
      </c>
      <c r="I2" s="40">
        <v>0</v>
      </c>
      <c r="J2" s="42"/>
      <c r="K2" s="42">
        <v>-500</v>
      </c>
      <c r="L2" s="42">
        <v>-2000</v>
      </c>
      <c r="M2" s="42">
        <v>-200</v>
      </c>
      <c r="N2" s="42">
        <v>-50</v>
      </c>
      <c r="O2" s="46">
        <f>+SUM(J2:N2)</f>
        <v>-2750</v>
      </c>
    </row>
    <row r="3" spans="1:15" x14ac:dyDescent="0.25">
      <c r="A3" s="40">
        <v>1</v>
      </c>
      <c r="B3" s="42">
        <v>202</v>
      </c>
      <c r="C3" s="42"/>
      <c r="D3" s="42"/>
      <c r="E3" s="42"/>
      <c r="F3" s="42"/>
      <c r="G3" s="46">
        <f t="shared" ref="G3:G32" si="0">+SUM(B3:F3)</f>
        <v>202</v>
      </c>
      <c r="I3" s="40">
        <v>1</v>
      </c>
      <c r="J3" s="49">
        <f>+B3</f>
        <v>202</v>
      </c>
      <c r="K3" s="42"/>
      <c r="L3" s="42"/>
      <c r="M3" s="42"/>
      <c r="N3" s="42"/>
      <c r="O3" s="46">
        <f t="shared" ref="O3:O22" si="1">+SUM(J3:N3)</f>
        <v>202</v>
      </c>
    </row>
    <row r="4" spans="1:15" x14ac:dyDescent="0.25">
      <c r="A4" s="40">
        <v>2</v>
      </c>
      <c r="B4" s="42">
        <f t="shared" ref="B4:B32" si="2">+B3+B3*1%</f>
        <v>204.02</v>
      </c>
      <c r="C4" s="42"/>
      <c r="D4" s="42"/>
      <c r="E4" s="42"/>
      <c r="F4" s="42"/>
      <c r="G4" s="46">
        <f t="shared" si="0"/>
        <v>204.02</v>
      </c>
      <c r="I4" s="40">
        <v>2</v>
      </c>
      <c r="J4" s="49">
        <f t="shared" ref="J4:J21" si="3">+B4</f>
        <v>204.02</v>
      </c>
      <c r="K4" s="42"/>
      <c r="L4" s="42"/>
      <c r="M4" s="42"/>
      <c r="N4" s="42"/>
      <c r="O4" s="46">
        <f t="shared" si="1"/>
        <v>204.02</v>
      </c>
    </row>
    <row r="5" spans="1:15" x14ac:dyDescent="0.25">
      <c r="A5" s="40">
        <v>3</v>
      </c>
      <c r="B5" s="42">
        <f t="shared" si="2"/>
        <v>206.06020000000001</v>
      </c>
      <c r="C5" s="42"/>
      <c r="D5" s="42"/>
      <c r="E5" s="42"/>
      <c r="F5" s="42"/>
      <c r="G5" s="46">
        <f t="shared" si="0"/>
        <v>206.06020000000001</v>
      </c>
      <c r="I5" s="40">
        <v>3</v>
      </c>
      <c r="J5" s="49">
        <f t="shared" si="3"/>
        <v>206.06020000000001</v>
      </c>
      <c r="K5" s="42"/>
      <c r="L5" s="42"/>
      <c r="M5" s="42"/>
      <c r="N5" s="42"/>
      <c r="O5" s="46">
        <f t="shared" si="1"/>
        <v>206.06020000000001</v>
      </c>
    </row>
    <row r="6" spans="1:15" x14ac:dyDescent="0.25">
      <c r="A6" s="40">
        <v>4</v>
      </c>
      <c r="B6" s="42">
        <f t="shared" si="2"/>
        <v>208.120802</v>
      </c>
      <c r="C6" s="42"/>
      <c r="D6" s="42"/>
      <c r="E6" s="42"/>
      <c r="F6" s="42"/>
      <c r="G6" s="46">
        <f t="shared" si="0"/>
        <v>208.120802</v>
      </c>
      <c r="I6" s="40">
        <v>4</v>
      </c>
      <c r="J6" s="49">
        <f t="shared" si="3"/>
        <v>208.120802</v>
      </c>
      <c r="K6" s="42"/>
      <c r="L6" s="42"/>
      <c r="M6" s="42"/>
      <c r="N6" s="42"/>
      <c r="O6" s="46">
        <f t="shared" si="1"/>
        <v>208.120802</v>
      </c>
    </row>
    <row r="7" spans="1:15" x14ac:dyDescent="0.25">
      <c r="A7" s="40">
        <v>5</v>
      </c>
      <c r="B7" s="42">
        <f t="shared" si="2"/>
        <v>210.20201001999999</v>
      </c>
      <c r="C7" s="42"/>
      <c r="D7" s="42"/>
      <c r="E7" s="42"/>
      <c r="F7" s="42">
        <v>-50</v>
      </c>
      <c r="G7" s="46">
        <f t="shared" si="0"/>
        <v>160.20201001999999</v>
      </c>
      <c r="I7" s="40">
        <v>5</v>
      </c>
      <c r="J7" s="49">
        <f t="shared" si="3"/>
        <v>210.20201001999999</v>
      </c>
      <c r="K7" s="42"/>
      <c r="L7" s="42"/>
      <c r="M7" s="42"/>
      <c r="N7" s="42">
        <v>-50</v>
      </c>
      <c r="O7" s="46">
        <f t="shared" si="1"/>
        <v>160.20201001999999</v>
      </c>
    </row>
    <row r="8" spans="1:15" x14ac:dyDescent="0.25">
      <c r="A8" s="40">
        <v>6</v>
      </c>
      <c r="B8" s="42">
        <f t="shared" si="2"/>
        <v>212.3040301202</v>
      </c>
      <c r="C8" s="42"/>
      <c r="D8" s="42"/>
      <c r="E8" s="42"/>
      <c r="F8" s="42"/>
      <c r="G8" s="46">
        <f t="shared" si="0"/>
        <v>212.3040301202</v>
      </c>
      <c r="I8" s="40">
        <v>6</v>
      </c>
      <c r="J8" s="49">
        <f t="shared" si="3"/>
        <v>212.3040301202</v>
      </c>
      <c r="K8" s="42"/>
      <c r="L8" s="42"/>
      <c r="M8" s="42"/>
      <c r="N8" s="42"/>
      <c r="O8" s="46">
        <f t="shared" si="1"/>
        <v>212.3040301202</v>
      </c>
    </row>
    <row r="9" spans="1:15" x14ac:dyDescent="0.25">
      <c r="A9" s="40">
        <v>7</v>
      </c>
      <c r="B9" s="42">
        <f t="shared" si="2"/>
        <v>214.42707042140199</v>
      </c>
      <c r="C9" s="42"/>
      <c r="D9" s="42"/>
      <c r="E9" s="42"/>
      <c r="F9" s="42"/>
      <c r="G9" s="46">
        <f t="shared" si="0"/>
        <v>214.42707042140199</v>
      </c>
      <c r="I9" s="40">
        <v>7</v>
      </c>
      <c r="J9" s="49">
        <f t="shared" si="3"/>
        <v>214.42707042140199</v>
      </c>
      <c r="K9" s="42"/>
      <c r="L9" s="42"/>
      <c r="M9" s="42"/>
      <c r="N9" s="42"/>
      <c r="O9" s="46">
        <f t="shared" si="1"/>
        <v>214.42707042140199</v>
      </c>
    </row>
    <row r="10" spans="1:15" x14ac:dyDescent="0.25">
      <c r="A10" s="40">
        <v>8</v>
      </c>
      <c r="B10" s="42">
        <f t="shared" si="2"/>
        <v>216.57134112561602</v>
      </c>
      <c r="C10" s="42"/>
      <c r="D10" s="42"/>
      <c r="E10" s="42"/>
      <c r="F10" s="42"/>
      <c r="G10" s="46">
        <f t="shared" si="0"/>
        <v>216.57134112561602</v>
      </c>
      <c r="I10" s="40">
        <v>8</v>
      </c>
      <c r="J10" s="49">
        <f t="shared" si="3"/>
        <v>216.57134112561602</v>
      </c>
      <c r="K10" s="42"/>
      <c r="L10" s="42"/>
      <c r="M10" s="42"/>
      <c r="N10" s="42"/>
      <c r="O10" s="46">
        <f t="shared" si="1"/>
        <v>216.57134112561602</v>
      </c>
    </row>
    <row r="11" spans="1:15" x14ac:dyDescent="0.25">
      <c r="A11" s="40">
        <v>9</v>
      </c>
      <c r="B11" s="42">
        <f t="shared" si="2"/>
        <v>218.73705453687217</v>
      </c>
      <c r="C11" s="42"/>
      <c r="D11" s="42"/>
      <c r="E11" s="42"/>
      <c r="F11" s="42"/>
      <c r="G11" s="46">
        <f t="shared" si="0"/>
        <v>218.73705453687217</v>
      </c>
      <c r="I11" s="40">
        <v>9</v>
      </c>
      <c r="J11" s="49">
        <f t="shared" si="3"/>
        <v>218.73705453687217</v>
      </c>
      <c r="K11" s="42"/>
      <c r="L11" s="42"/>
      <c r="M11" s="42"/>
      <c r="N11" s="42"/>
      <c r="O11" s="46">
        <f t="shared" si="1"/>
        <v>218.73705453687217</v>
      </c>
    </row>
    <row r="12" spans="1:15" x14ac:dyDescent="0.25">
      <c r="A12" s="40">
        <v>10</v>
      </c>
      <c r="B12" s="42">
        <f t="shared" si="2"/>
        <v>220.92442508224087</v>
      </c>
      <c r="C12" s="42"/>
      <c r="D12" s="42"/>
      <c r="E12" s="42">
        <v>-200</v>
      </c>
      <c r="F12" s="42">
        <v>-50</v>
      </c>
      <c r="G12" s="46">
        <f t="shared" si="0"/>
        <v>-29.075574917759127</v>
      </c>
      <c r="I12" s="40">
        <v>10</v>
      </c>
      <c r="J12" s="49">
        <f t="shared" si="3"/>
        <v>220.92442508224087</v>
      </c>
      <c r="K12" s="42"/>
      <c r="L12" s="42"/>
      <c r="M12" s="42">
        <v>-200</v>
      </c>
      <c r="N12" s="42">
        <v>-50</v>
      </c>
      <c r="O12" s="46">
        <f t="shared" si="1"/>
        <v>-29.075574917759127</v>
      </c>
    </row>
    <row r="13" spans="1:15" x14ac:dyDescent="0.25">
      <c r="A13" s="40">
        <v>11</v>
      </c>
      <c r="B13" s="42">
        <f t="shared" si="2"/>
        <v>223.1336693330633</v>
      </c>
      <c r="C13" s="42"/>
      <c r="D13" s="42"/>
      <c r="E13" s="42"/>
      <c r="F13" s="42"/>
      <c r="G13" s="46">
        <f t="shared" si="0"/>
        <v>223.1336693330633</v>
      </c>
      <c r="I13" s="40">
        <v>11</v>
      </c>
      <c r="J13" s="49">
        <f t="shared" si="3"/>
        <v>223.1336693330633</v>
      </c>
      <c r="K13" s="42"/>
      <c r="L13" s="42"/>
      <c r="M13" s="42"/>
      <c r="N13" s="42"/>
      <c r="O13" s="46">
        <f t="shared" si="1"/>
        <v>223.1336693330633</v>
      </c>
    </row>
    <row r="14" spans="1:15" x14ac:dyDescent="0.25">
      <c r="A14" s="40">
        <v>12</v>
      </c>
      <c r="B14" s="42">
        <f t="shared" si="2"/>
        <v>225.36500602639393</v>
      </c>
      <c r="C14" s="42"/>
      <c r="D14" s="42"/>
      <c r="E14" s="42"/>
      <c r="F14" s="42"/>
      <c r="G14" s="46">
        <f t="shared" si="0"/>
        <v>225.36500602639393</v>
      </c>
      <c r="I14" s="40">
        <v>12</v>
      </c>
      <c r="J14" s="49">
        <f t="shared" si="3"/>
        <v>225.36500602639393</v>
      </c>
      <c r="K14" s="42"/>
      <c r="L14" s="42"/>
      <c r="M14" s="42"/>
      <c r="N14" s="42"/>
      <c r="O14" s="46">
        <f t="shared" si="1"/>
        <v>225.36500602639393</v>
      </c>
    </row>
    <row r="15" spans="1:15" x14ac:dyDescent="0.25">
      <c r="A15" s="40">
        <v>13</v>
      </c>
      <c r="B15" s="42">
        <f t="shared" si="2"/>
        <v>227.61865608665786</v>
      </c>
      <c r="C15" s="42"/>
      <c r="D15" s="42"/>
      <c r="E15" s="42"/>
      <c r="F15" s="42"/>
      <c r="G15" s="46">
        <f t="shared" si="0"/>
        <v>227.61865608665786</v>
      </c>
      <c r="I15" s="40">
        <v>13</v>
      </c>
      <c r="J15" s="49">
        <f t="shared" si="3"/>
        <v>227.61865608665786</v>
      </c>
      <c r="K15" s="42"/>
      <c r="L15" s="42"/>
      <c r="M15" s="42"/>
      <c r="N15" s="42"/>
      <c r="O15" s="46">
        <f t="shared" si="1"/>
        <v>227.61865608665786</v>
      </c>
    </row>
    <row r="16" spans="1:15" x14ac:dyDescent="0.25">
      <c r="A16" s="40">
        <v>14</v>
      </c>
      <c r="B16" s="42">
        <f t="shared" si="2"/>
        <v>229.89484264752446</v>
      </c>
      <c r="C16" s="42"/>
      <c r="D16" s="42"/>
      <c r="E16" s="42"/>
      <c r="F16" s="42"/>
      <c r="G16" s="46">
        <f t="shared" si="0"/>
        <v>229.89484264752446</v>
      </c>
      <c r="I16" s="40">
        <v>14</v>
      </c>
      <c r="J16" s="49">
        <f t="shared" si="3"/>
        <v>229.89484264752446</v>
      </c>
      <c r="K16" s="42"/>
      <c r="L16" s="42"/>
      <c r="M16" s="42"/>
      <c r="N16" s="42"/>
      <c r="O16" s="46">
        <f t="shared" si="1"/>
        <v>229.89484264752446</v>
      </c>
    </row>
    <row r="17" spans="1:15" x14ac:dyDescent="0.25">
      <c r="A17" s="40">
        <v>15</v>
      </c>
      <c r="B17" s="42">
        <f t="shared" si="2"/>
        <v>232.19379107399971</v>
      </c>
      <c r="C17" s="42"/>
      <c r="D17" s="42"/>
      <c r="E17" s="42"/>
      <c r="F17" s="42">
        <v>-50</v>
      </c>
      <c r="G17" s="46">
        <f t="shared" si="0"/>
        <v>182.19379107399971</v>
      </c>
      <c r="I17" s="40">
        <v>15</v>
      </c>
      <c r="J17" s="49">
        <f t="shared" si="3"/>
        <v>232.19379107399971</v>
      </c>
      <c r="K17" s="42"/>
      <c r="L17" s="42"/>
      <c r="M17" s="42"/>
      <c r="N17" s="42">
        <v>-50</v>
      </c>
      <c r="O17" s="46">
        <f t="shared" si="1"/>
        <v>182.19379107399971</v>
      </c>
    </row>
    <row r="18" spans="1:15" x14ac:dyDescent="0.25">
      <c r="A18" s="40">
        <v>16</v>
      </c>
      <c r="B18" s="42">
        <f t="shared" si="2"/>
        <v>234.5157289847397</v>
      </c>
      <c r="C18" s="42"/>
      <c r="D18" s="42"/>
      <c r="E18" s="42"/>
      <c r="F18" s="42"/>
      <c r="G18" s="46">
        <f t="shared" si="0"/>
        <v>234.5157289847397</v>
      </c>
      <c r="I18" s="40">
        <v>16</v>
      </c>
      <c r="J18" s="49">
        <f t="shared" si="3"/>
        <v>234.5157289847397</v>
      </c>
      <c r="K18" s="42"/>
      <c r="L18" s="42"/>
      <c r="M18" s="42"/>
      <c r="N18" s="42"/>
      <c r="O18" s="46">
        <f t="shared" si="1"/>
        <v>234.5157289847397</v>
      </c>
    </row>
    <row r="19" spans="1:15" x14ac:dyDescent="0.25">
      <c r="A19" s="40">
        <v>17</v>
      </c>
      <c r="B19" s="42">
        <f t="shared" si="2"/>
        <v>236.8608862745871</v>
      </c>
      <c r="C19" s="42"/>
      <c r="D19" s="42"/>
      <c r="E19" s="42"/>
      <c r="F19" s="42"/>
      <c r="G19" s="46">
        <f t="shared" si="0"/>
        <v>236.8608862745871</v>
      </c>
      <c r="I19" s="40">
        <v>17</v>
      </c>
      <c r="J19" s="49">
        <f t="shared" si="3"/>
        <v>236.8608862745871</v>
      </c>
      <c r="K19" s="42"/>
      <c r="L19" s="42"/>
      <c r="M19" s="42"/>
      <c r="N19" s="42"/>
      <c r="O19" s="46">
        <f t="shared" si="1"/>
        <v>236.8608862745871</v>
      </c>
    </row>
    <row r="20" spans="1:15" x14ac:dyDescent="0.25">
      <c r="A20" s="40">
        <v>18</v>
      </c>
      <c r="B20" s="42">
        <f t="shared" si="2"/>
        <v>239.22949513733298</v>
      </c>
      <c r="C20" s="42"/>
      <c r="D20" s="42"/>
      <c r="E20" s="42"/>
      <c r="F20" s="42"/>
      <c r="G20" s="46">
        <f t="shared" si="0"/>
        <v>239.22949513733298</v>
      </c>
      <c r="I20" s="40">
        <v>18</v>
      </c>
      <c r="J20" s="49">
        <f t="shared" si="3"/>
        <v>239.22949513733298</v>
      </c>
      <c r="K20" s="42"/>
      <c r="L20" s="42"/>
      <c r="M20" s="42"/>
      <c r="N20" s="42"/>
      <c r="O20" s="46">
        <f t="shared" si="1"/>
        <v>239.22949513733298</v>
      </c>
    </row>
    <row r="21" spans="1:15" x14ac:dyDescent="0.25">
      <c r="A21" s="40">
        <v>19</v>
      </c>
      <c r="B21" s="42">
        <f t="shared" si="2"/>
        <v>241.62179008870629</v>
      </c>
      <c r="C21" s="42"/>
      <c r="D21" s="42"/>
      <c r="E21" s="42"/>
      <c r="F21" s="42"/>
      <c r="G21" s="46">
        <f t="shared" si="0"/>
        <v>241.62179008870629</v>
      </c>
      <c r="I21" s="40">
        <v>19</v>
      </c>
      <c r="J21" s="49">
        <f t="shared" si="3"/>
        <v>241.62179008870629</v>
      </c>
      <c r="K21" s="42"/>
      <c r="L21" s="42"/>
      <c r="M21" s="42"/>
      <c r="N21" s="42"/>
      <c r="O21" s="46">
        <f t="shared" si="1"/>
        <v>241.62179008870629</v>
      </c>
    </row>
    <row r="22" spans="1:15" x14ac:dyDescent="0.25">
      <c r="A22" s="41">
        <v>20</v>
      </c>
      <c r="B22" s="48">
        <f t="shared" si="2"/>
        <v>244.03800798959335</v>
      </c>
      <c r="C22" s="43"/>
      <c r="D22" s="42"/>
      <c r="E22" s="43">
        <v>-200</v>
      </c>
      <c r="F22" s="43">
        <v>-50</v>
      </c>
      <c r="G22" s="46">
        <f t="shared" si="0"/>
        <v>-5.9619920104066466</v>
      </c>
      <c r="I22" s="41">
        <v>20</v>
      </c>
      <c r="J22" s="48">
        <f>+(J21+J21*1%)+2693</f>
        <v>2937.0380079895936</v>
      </c>
      <c r="K22" s="50">
        <v>0</v>
      </c>
      <c r="L22" s="51">
        <v>0</v>
      </c>
      <c r="M22" s="43"/>
      <c r="N22" s="43"/>
      <c r="O22" s="46">
        <f t="shared" si="1"/>
        <v>2937.0380079895936</v>
      </c>
    </row>
    <row r="23" spans="1:15" x14ac:dyDescent="0.25">
      <c r="A23" s="40">
        <v>21</v>
      </c>
      <c r="B23" s="42">
        <f t="shared" si="2"/>
        <v>246.47838806948928</v>
      </c>
      <c r="C23" s="42"/>
      <c r="D23" s="42"/>
      <c r="E23" s="42"/>
      <c r="F23" s="42"/>
      <c r="G23" s="46">
        <f t="shared" si="0"/>
        <v>246.47838806948928</v>
      </c>
      <c r="J23" s="38">
        <f>+NPV(6%,J3:J22)</f>
        <v>3342.6275999976342</v>
      </c>
      <c r="L23" s="38"/>
      <c r="N23" t="s">
        <v>37</v>
      </c>
      <c r="O23" s="47">
        <f>+NPV(6%,O3:O22)+O2</f>
        <v>394.80274408877449</v>
      </c>
    </row>
    <row r="24" spans="1:15" x14ac:dyDescent="0.25">
      <c r="A24" s="40">
        <v>22</v>
      </c>
      <c r="B24" s="42">
        <f t="shared" si="2"/>
        <v>248.94317195018417</v>
      </c>
      <c r="C24" s="42"/>
      <c r="D24" s="42"/>
      <c r="E24" s="42"/>
      <c r="F24" s="42"/>
      <c r="G24" s="46">
        <f t="shared" si="0"/>
        <v>248.94317195018417</v>
      </c>
    </row>
    <row r="25" spans="1:15" x14ac:dyDescent="0.25">
      <c r="A25" s="40">
        <v>23</v>
      </c>
      <c r="B25" s="42">
        <f t="shared" si="2"/>
        <v>251.43260366968602</v>
      </c>
      <c r="C25" s="42"/>
      <c r="D25" s="42"/>
      <c r="E25" s="42"/>
      <c r="F25" s="42"/>
      <c r="G25" s="46">
        <f t="shared" si="0"/>
        <v>251.43260366968602</v>
      </c>
    </row>
    <row r="26" spans="1:15" x14ac:dyDescent="0.25">
      <c r="A26" s="40">
        <v>24</v>
      </c>
      <c r="B26" s="42">
        <f t="shared" si="2"/>
        <v>253.94692970638289</v>
      </c>
      <c r="C26" s="42"/>
      <c r="D26" s="42"/>
      <c r="E26" s="42"/>
      <c r="F26" s="42"/>
      <c r="G26" s="46">
        <f t="shared" si="0"/>
        <v>253.94692970638289</v>
      </c>
    </row>
    <row r="27" spans="1:15" x14ac:dyDescent="0.25">
      <c r="A27" s="40">
        <v>25</v>
      </c>
      <c r="B27" s="42">
        <f t="shared" si="2"/>
        <v>256.48639900344671</v>
      </c>
      <c r="C27" s="42"/>
      <c r="D27" s="42"/>
      <c r="E27" s="42"/>
      <c r="F27" s="42">
        <v>-50</v>
      </c>
      <c r="G27" s="46">
        <f t="shared" si="0"/>
        <v>206.48639900344671</v>
      </c>
    </row>
    <row r="28" spans="1:15" x14ac:dyDescent="0.25">
      <c r="A28" s="40">
        <v>26</v>
      </c>
      <c r="B28" s="42">
        <f t="shared" si="2"/>
        <v>259.05126299348115</v>
      </c>
      <c r="C28" s="42"/>
      <c r="D28" s="42"/>
      <c r="E28" s="42"/>
      <c r="F28" s="42"/>
      <c r="G28" s="46">
        <f t="shared" si="0"/>
        <v>259.05126299348115</v>
      </c>
    </row>
    <row r="29" spans="1:15" x14ac:dyDescent="0.25">
      <c r="A29" s="40">
        <v>27</v>
      </c>
      <c r="B29" s="42">
        <f t="shared" si="2"/>
        <v>261.64177562341598</v>
      </c>
      <c r="C29" s="42"/>
      <c r="D29" s="42"/>
      <c r="E29" s="42"/>
      <c r="F29" s="42"/>
      <c r="G29" s="46">
        <f t="shared" si="0"/>
        <v>261.64177562341598</v>
      </c>
    </row>
    <row r="30" spans="1:15" x14ac:dyDescent="0.25">
      <c r="A30" s="40">
        <v>28</v>
      </c>
      <c r="B30" s="42">
        <f t="shared" si="2"/>
        <v>264.25819337965015</v>
      </c>
      <c r="C30" s="42"/>
      <c r="D30" s="42"/>
      <c r="E30" s="42"/>
      <c r="F30" s="42"/>
      <c r="G30" s="46">
        <f t="shared" si="0"/>
        <v>264.25819337965015</v>
      </c>
      <c r="L30" s="38"/>
    </row>
    <row r="31" spans="1:15" x14ac:dyDescent="0.25">
      <c r="A31" s="40">
        <v>29</v>
      </c>
      <c r="B31" s="42">
        <f t="shared" si="2"/>
        <v>266.90077531344667</v>
      </c>
      <c r="C31" s="42"/>
      <c r="D31" s="42"/>
      <c r="E31" s="42"/>
      <c r="F31" s="42"/>
      <c r="G31" s="46">
        <f t="shared" si="0"/>
        <v>266.90077531344667</v>
      </c>
    </row>
    <row r="32" spans="1:15" x14ac:dyDescent="0.25">
      <c r="A32" s="40">
        <v>30</v>
      </c>
      <c r="B32" s="42">
        <f t="shared" si="2"/>
        <v>269.56978306658112</v>
      </c>
      <c r="C32" s="42">
        <v>500</v>
      </c>
      <c r="D32" s="51">
        <f>PV(6%,20,D33)</f>
        <v>1455.4019329526777</v>
      </c>
      <c r="E32" s="42"/>
      <c r="F32" s="42"/>
      <c r="G32" s="46">
        <f t="shared" si="0"/>
        <v>2224.9717160192586</v>
      </c>
    </row>
    <row r="33" spans="1:7" x14ac:dyDescent="0.25">
      <c r="A33" t="s">
        <v>40</v>
      </c>
      <c r="B33" s="38">
        <f>+NPV(6%,B3:B32)</f>
        <v>3091.9164295706669</v>
      </c>
      <c r="C33" s="38"/>
      <c r="D33" s="38">
        <f>-PMT(6%,50,D2)</f>
        <v>-126.8885727477324</v>
      </c>
      <c r="F33" t="s">
        <v>37</v>
      </c>
      <c r="G33" s="47">
        <f>+NPV(6%,G3:G32)+G2</f>
        <v>394.94574694438961</v>
      </c>
    </row>
    <row r="34" spans="1:7" x14ac:dyDescent="0.25">
      <c r="A3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VR Economico</vt:lpstr>
      <vt:lpstr>Ejemplo</vt:lpstr>
      <vt:lpstr>Comprobacion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 Osvaldo Rios Rubio</cp:lastModifiedBy>
  <dcterms:created xsi:type="dcterms:W3CDTF">2020-05-08T14:05:35Z</dcterms:created>
  <dcterms:modified xsi:type="dcterms:W3CDTF">2021-04-19T14:33:45Z</dcterms:modified>
</cp:coreProperties>
</file>